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<sst xmlns="http://schemas.openxmlformats.org/spreadsheetml/2006/main" count="1024" uniqueCount="187">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</sst>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78"/>
      <c r="C2" s="278"/>
      <c r="D2" s="278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183</v>
      </c>
      <c r="N3" s="288" t="s">
        <v>184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179</v>
      </c>
      <c r="F4" s="271" t="s">
        <v>34</v>
      </c>
      <c r="G4" s="265" t="s">
        <v>180</v>
      </c>
      <c r="H4" s="273" t="s">
        <v>181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186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72"/>
      <c r="G5" s="266"/>
      <c r="H5" s="274"/>
      <c r="I5" s="266"/>
      <c r="J5" s="274"/>
      <c r="K5" s="268" t="s">
        <v>182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489463.685</v>
      </c>
      <c r="G8" s="191">
        <f aca="true" t="shared" si="0" ref="G8:G36">F8-E8</f>
        <v>-10072.59500000003</v>
      </c>
      <c r="H8" s="192">
        <f>F8/E8*100</f>
        <v>97.98361092011174</v>
      </c>
      <c r="I8" s="193">
        <f>F8-D8</f>
        <v>-351586.315</v>
      </c>
      <c r="J8" s="193">
        <f>F8/D8*100</f>
        <v>58.19674038404376</v>
      </c>
      <c r="K8" s="191">
        <f>F8-366772.22</f>
        <v>122691.46500000003</v>
      </c>
      <c r="L8" s="191">
        <f>F8/366722.22*100</f>
        <v>133.46987400981592</v>
      </c>
      <c r="M8" s="191">
        <f>M9+M15+M18+M19+M20+M17</f>
        <v>79300.50000000003</v>
      </c>
      <c r="N8" s="191">
        <f>N9+N15+N18+N19+N20+N17</f>
        <v>23952.25500000004</v>
      </c>
      <c r="O8" s="191">
        <f>N8-M8</f>
        <v>-55348.24499999999</v>
      </c>
      <c r="P8" s="191">
        <f>N8/M8*100</f>
        <v>30.2044186354437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271500.09</v>
      </c>
      <c r="G9" s="190">
        <f t="shared" si="0"/>
        <v>7775.820000000007</v>
      </c>
      <c r="H9" s="197">
        <f>F9/E9*100</f>
        <v>102.94846583516943</v>
      </c>
      <c r="I9" s="198">
        <f>F9-D9</f>
        <v>-188199.90999999997</v>
      </c>
      <c r="J9" s="198">
        <f>F9/D9*100</f>
        <v>59.06027626713074</v>
      </c>
      <c r="K9" s="199">
        <f>F9-203434.44</f>
        <v>68065.65000000002</v>
      </c>
      <c r="L9" s="199">
        <f>F9/203434.44*100</f>
        <v>133.45827284701647</v>
      </c>
      <c r="M9" s="197">
        <f>E9-червень!E9</f>
        <v>39820.00000000003</v>
      </c>
      <c r="N9" s="200">
        <f>F9-червень!F9</f>
        <v>10057.550000000017</v>
      </c>
      <c r="O9" s="201">
        <f>N9-M9</f>
        <v>-29762.45000000001</v>
      </c>
      <c r="P9" s="198">
        <f>N9/M9*100</f>
        <v>25.25753390256155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239698.5</v>
      </c>
      <c r="G10" s="109">
        <f t="shared" si="0"/>
        <v>5682.6600000000035</v>
      </c>
      <c r="H10" s="32">
        <f aca="true" t="shared" si="1" ref="H10:H35">F10/E10*100</f>
        <v>102.42832280071299</v>
      </c>
      <c r="I10" s="110">
        <f aca="true" t="shared" si="2" ref="I10:I36">F10-D10</f>
        <v>-171741.5</v>
      </c>
      <c r="J10" s="110">
        <f aca="true" t="shared" si="3" ref="J10:J35">F10/D10*100</f>
        <v>58.25843379350574</v>
      </c>
      <c r="K10" s="112">
        <f>F10-180069.97</f>
        <v>59628.53</v>
      </c>
      <c r="L10" s="112">
        <f>F10/180069.97*100</f>
        <v>133.11408892887582</v>
      </c>
      <c r="M10" s="111">
        <f>E10-червень!E10</f>
        <v>34720</v>
      </c>
      <c r="N10" s="179">
        <f>F10-червень!F10</f>
        <v>8430.089999999997</v>
      </c>
      <c r="O10" s="112">
        <f aca="true" t="shared" si="4" ref="O10:O36">N10-M10</f>
        <v>-26289.910000000003</v>
      </c>
      <c r="P10" s="198">
        <f aca="true" t="shared" si="5" ref="P10:P16">N10/M10*100</f>
        <v>24.280213133640544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18709.22</v>
      </c>
      <c r="G11" s="109">
        <f t="shared" si="0"/>
        <v>2794.2800000000007</v>
      </c>
      <c r="H11" s="32">
        <f t="shared" si="1"/>
        <v>117.55759054071207</v>
      </c>
      <c r="I11" s="110">
        <f t="shared" si="2"/>
        <v>-4290.779999999999</v>
      </c>
      <c r="J11" s="110">
        <f t="shared" si="3"/>
        <v>81.3444347826087</v>
      </c>
      <c r="K11" s="112">
        <f>F11-10791.39</f>
        <v>7917.830000000002</v>
      </c>
      <c r="L11" s="112">
        <f>F11/10791.39*100</f>
        <v>173.3717343178219</v>
      </c>
      <c r="M11" s="111">
        <f>E11-червень!E11</f>
        <v>1750</v>
      </c>
      <c r="N11" s="179">
        <f>F11-червень!F11</f>
        <v>676.9700000000012</v>
      </c>
      <c r="O11" s="112">
        <f t="shared" si="4"/>
        <v>-1073.0299999999988</v>
      </c>
      <c r="P11" s="198">
        <f t="shared" si="5"/>
        <v>38.68400000000007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5598.13</v>
      </c>
      <c r="G12" s="109">
        <f t="shared" si="0"/>
        <v>2327.52</v>
      </c>
      <c r="H12" s="32">
        <f t="shared" si="1"/>
        <v>171.16470627803375</v>
      </c>
      <c r="I12" s="110">
        <f t="shared" si="2"/>
        <v>-901.8699999999999</v>
      </c>
      <c r="J12" s="110">
        <f t="shared" si="3"/>
        <v>86.12507692307693</v>
      </c>
      <c r="K12" s="112">
        <f>F12-3052.92</f>
        <v>2545.21</v>
      </c>
      <c r="L12" s="112">
        <f>F12/3052.92*100</f>
        <v>183.36969196703484</v>
      </c>
      <c r="M12" s="111">
        <f>E12-червень!E12</f>
        <v>550</v>
      </c>
      <c r="N12" s="179">
        <f>F12-червень!F12</f>
        <v>309.47000000000025</v>
      </c>
      <c r="O12" s="112">
        <f t="shared" si="4"/>
        <v>-240.52999999999975</v>
      </c>
      <c r="P12" s="198">
        <f t="shared" si="5"/>
        <v>56.267272727272776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5044.92</v>
      </c>
      <c r="G13" s="109">
        <f t="shared" si="0"/>
        <v>-1719.92</v>
      </c>
      <c r="H13" s="32">
        <f t="shared" si="1"/>
        <v>74.57559971854471</v>
      </c>
      <c r="I13" s="110">
        <f t="shared" si="2"/>
        <v>-7355.08</v>
      </c>
      <c r="J13" s="110">
        <f t="shared" si="3"/>
        <v>40.684838709677415</v>
      </c>
      <c r="K13" s="112">
        <f>F13-4060.02</f>
        <v>984.9000000000001</v>
      </c>
      <c r="L13" s="112">
        <f>F13/4060.02*100</f>
        <v>124.25850118964932</v>
      </c>
      <c r="M13" s="111">
        <f>E13-червень!E13</f>
        <v>2180</v>
      </c>
      <c r="N13" s="179">
        <f>F13-червень!F13</f>
        <v>592.3100000000004</v>
      </c>
      <c r="O13" s="112">
        <f t="shared" si="4"/>
        <v>-1587.6899999999996</v>
      </c>
      <c r="P13" s="198">
        <f t="shared" si="5"/>
        <v>27.170183486238553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2449.32</v>
      </c>
      <c r="G14" s="109">
        <f t="shared" si="0"/>
        <v>-1308.7199999999998</v>
      </c>
      <c r="H14" s="32">
        <f t="shared" si="1"/>
        <v>65.1754638056008</v>
      </c>
      <c r="I14" s="110">
        <f t="shared" si="2"/>
        <v>-3910.68</v>
      </c>
      <c r="J14" s="110">
        <f t="shared" si="3"/>
        <v>38.511320754716984</v>
      </c>
      <c r="K14" s="112">
        <f>F14-5460.12</f>
        <v>-3010.7999999999997</v>
      </c>
      <c r="L14" s="112">
        <f>F14/5460.12*100</f>
        <v>44.858354761433816</v>
      </c>
      <c r="M14" s="111">
        <f>E14-червень!E14</f>
        <v>620</v>
      </c>
      <c r="N14" s="179">
        <f>F14-червень!F14</f>
        <v>48.710000000000036</v>
      </c>
      <c r="O14" s="112">
        <f t="shared" si="4"/>
        <v>-571.29</v>
      </c>
      <c r="P14" s="198">
        <f t="shared" si="5"/>
        <v>7.856451612903231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44941.45</v>
      </c>
      <c r="G19" s="190">
        <f t="shared" si="0"/>
        <v>-13818.950000000004</v>
      </c>
      <c r="H19" s="197">
        <f t="shared" si="1"/>
        <v>76.48254606844066</v>
      </c>
      <c r="I19" s="198">
        <f t="shared" si="2"/>
        <v>-64958.55</v>
      </c>
      <c r="J19" s="198">
        <f t="shared" si="3"/>
        <v>40.89303912647861</v>
      </c>
      <c r="K19" s="209">
        <f>F19-30116.49</f>
        <v>14824.959999999995</v>
      </c>
      <c r="L19" s="209">
        <f>F19/30116.49*100</f>
        <v>149.2253911395385</v>
      </c>
      <c r="M19" s="197">
        <f>E19-червень!E19</f>
        <v>10900</v>
      </c>
      <c r="N19" s="200">
        <f>F19-червень!F19</f>
        <v>429.4300000000003</v>
      </c>
      <c r="O19" s="201">
        <f t="shared" si="4"/>
        <v>-10470.57</v>
      </c>
      <c r="P19" s="198">
        <f aca="true" t="shared" si="6" ref="P19:P24">N19/M19*100</f>
        <v>3.9397247706422043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172606.93500000003</v>
      </c>
      <c r="G20" s="190">
        <f t="shared" si="0"/>
        <v>-4184.674999999959</v>
      </c>
      <c r="H20" s="197">
        <f t="shared" si="1"/>
        <v>97.63299004969753</v>
      </c>
      <c r="I20" s="198">
        <f t="shared" si="2"/>
        <v>-98333.06499999997</v>
      </c>
      <c r="J20" s="198">
        <f t="shared" si="3"/>
        <v>63.70670074555254</v>
      </c>
      <c r="K20" s="198">
        <f>F20-100444.36</f>
        <v>72162.57500000003</v>
      </c>
      <c r="L20" s="198">
        <f>F20/100444.36*100</f>
        <v>171.84333197005787</v>
      </c>
      <c r="M20" s="197">
        <f>M21+M29+M30+M31</f>
        <v>28570.5</v>
      </c>
      <c r="N20" s="200">
        <f>F20-червень!F20</f>
        <v>13465.275000000023</v>
      </c>
      <c r="O20" s="201">
        <f t="shared" si="4"/>
        <v>-15105.224999999977</v>
      </c>
      <c r="P20" s="198">
        <f t="shared" si="6"/>
        <v>47.129994224812386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90731.24500000001</v>
      </c>
      <c r="G21" s="190">
        <f t="shared" si="0"/>
        <v>-5877.414999999994</v>
      </c>
      <c r="H21" s="197">
        <f t="shared" si="1"/>
        <v>93.91626485658739</v>
      </c>
      <c r="I21" s="198">
        <f t="shared" si="2"/>
        <v>-70668.75499999999</v>
      </c>
      <c r="J21" s="198">
        <f t="shared" si="3"/>
        <v>56.215145600991335</v>
      </c>
      <c r="K21" s="198">
        <f>F21-54757.32</f>
        <v>35973.92500000001</v>
      </c>
      <c r="L21" s="198">
        <f>F21/54757.32*100</f>
        <v>165.69701548578348</v>
      </c>
      <c r="M21" s="197">
        <f>M22+M25+M26</f>
        <v>18465.3</v>
      </c>
      <c r="N21" s="200">
        <f>F21-червень!F21</f>
        <v>4736.8550000000105</v>
      </c>
      <c r="O21" s="201">
        <f t="shared" si="4"/>
        <v>-13728.444999999989</v>
      </c>
      <c r="P21" s="198">
        <f t="shared" si="6"/>
        <v>25.652737837998902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10538.875</v>
      </c>
      <c r="G22" s="212">
        <f t="shared" si="0"/>
        <v>-2052.7250000000004</v>
      </c>
      <c r="H22" s="214">
        <f t="shared" si="1"/>
        <v>83.69766352171288</v>
      </c>
      <c r="I22" s="215">
        <f t="shared" si="2"/>
        <v>-7961.125</v>
      </c>
      <c r="J22" s="215">
        <f t="shared" si="3"/>
        <v>56.96689189189189</v>
      </c>
      <c r="K22" s="216">
        <f>F22-4957.1</f>
        <v>5581.775</v>
      </c>
      <c r="L22" s="216">
        <f>F22/4957.1*100</f>
        <v>212.6016219160396</v>
      </c>
      <c r="M22" s="214">
        <f>E22-червень!E22</f>
        <v>3980</v>
      </c>
      <c r="N22" s="217">
        <f>F22-червень!F22</f>
        <v>1305.2849999999999</v>
      </c>
      <c r="O22" s="218">
        <f t="shared" si="4"/>
        <v>-2674.715</v>
      </c>
      <c r="P22" s="215">
        <f t="shared" si="6"/>
        <v>32.79610552763819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433.64</v>
      </c>
      <c r="G23" s="241">
        <f t="shared" si="0"/>
        <v>-255.46000000000004</v>
      </c>
      <c r="H23" s="242">
        <f t="shared" si="1"/>
        <v>62.92845740821361</v>
      </c>
      <c r="I23" s="243">
        <f t="shared" si="2"/>
        <v>-1566.3600000000001</v>
      </c>
      <c r="J23" s="243">
        <f t="shared" si="3"/>
        <v>21.682</v>
      </c>
      <c r="K23" s="244">
        <f>F23-284.18</f>
        <v>149.45999999999998</v>
      </c>
      <c r="L23" s="244">
        <f>F23/284.18*100</f>
        <v>152.59342670138645</v>
      </c>
      <c r="M23" s="239">
        <f>E23-червень!E23</f>
        <v>300</v>
      </c>
      <c r="N23" s="239">
        <f>F23-червень!F23</f>
        <v>91.53999999999996</v>
      </c>
      <c r="O23" s="240">
        <f t="shared" si="4"/>
        <v>-208.46000000000004</v>
      </c>
      <c r="P23" s="240">
        <f t="shared" si="6"/>
        <v>30.51333333333332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10105.24</v>
      </c>
      <c r="G24" s="241">
        <f t="shared" si="0"/>
        <v>-1797.2600000000002</v>
      </c>
      <c r="H24" s="242">
        <f t="shared" si="1"/>
        <v>84.9001470279353</v>
      </c>
      <c r="I24" s="243">
        <f t="shared" si="2"/>
        <v>-6394.76</v>
      </c>
      <c r="J24" s="243">
        <f t="shared" si="3"/>
        <v>61.24387878787879</v>
      </c>
      <c r="K24" s="244">
        <f>F24-4672.92</f>
        <v>5432.32</v>
      </c>
      <c r="L24" s="244">
        <f>F24/4672.92*100</f>
        <v>216.2510806947262</v>
      </c>
      <c r="M24" s="239">
        <f>E24-червень!E24</f>
        <v>3680</v>
      </c>
      <c r="N24" s="239">
        <f>F24-червень!F24</f>
        <v>1213.75</v>
      </c>
      <c r="O24" s="240">
        <f t="shared" si="4"/>
        <v>-2466.25</v>
      </c>
      <c r="P24" s="240">
        <f t="shared" si="6"/>
        <v>32.98233695652174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441.3</v>
      </c>
      <c r="G25" s="212">
        <f t="shared" si="0"/>
        <v>-251.83999999999997</v>
      </c>
      <c r="H25" s="214">
        <f t="shared" si="1"/>
        <v>63.66679170153217</v>
      </c>
      <c r="I25" s="215">
        <f t="shared" si="2"/>
        <v>-2358.7</v>
      </c>
      <c r="J25" s="215">
        <f t="shared" si="3"/>
        <v>15.760714285714286</v>
      </c>
      <c r="K25" s="215">
        <f>F25-210.68</f>
        <v>230.62</v>
      </c>
      <c r="L25" s="215">
        <f>F25/210.68*100</f>
        <v>209.46459084868047</v>
      </c>
      <c r="M25" s="214">
        <f>E25-червень!E25</f>
        <v>416.3</v>
      </c>
      <c r="N25" s="217">
        <f>F25-червень!F25</f>
        <v>6.25</v>
      </c>
      <c r="O25" s="218">
        <f t="shared" si="4"/>
        <v>-410.05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79751.07</v>
      </c>
      <c r="G26" s="212">
        <f t="shared" si="0"/>
        <v>-3572.8499999999913</v>
      </c>
      <c r="H26" s="214">
        <f t="shared" si="1"/>
        <v>95.71209563832332</v>
      </c>
      <c r="I26" s="215">
        <f t="shared" si="2"/>
        <v>-60348.92999999999</v>
      </c>
      <c r="J26" s="215">
        <f t="shared" si="3"/>
        <v>56.92438972162741</v>
      </c>
      <c r="K26" s="216">
        <f>F26-49589.53</f>
        <v>30161.540000000008</v>
      </c>
      <c r="L26" s="216">
        <f>F26/49589.53*100</f>
        <v>160.8223953725716</v>
      </c>
      <c r="M26" s="214">
        <f>E26-червень!E26</f>
        <v>14069</v>
      </c>
      <c r="N26" s="217">
        <f>F26-червень!F26</f>
        <v>3425.320000000007</v>
      </c>
      <c r="O26" s="218">
        <f t="shared" si="4"/>
        <v>-10643.679999999993</v>
      </c>
      <c r="P26" s="215">
        <f>N26/M26*100</f>
        <v>24.346577581917742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24946.02</v>
      </c>
      <c r="G27" s="241">
        <f t="shared" si="0"/>
        <v>981.2700000000004</v>
      </c>
      <c r="H27" s="242">
        <f t="shared" si="1"/>
        <v>104.09463900103277</v>
      </c>
      <c r="I27" s="243">
        <f t="shared" si="2"/>
        <v>-13110.98</v>
      </c>
      <c r="J27" s="243">
        <f t="shared" si="3"/>
        <v>65.5490974065218</v>
      </c>
      <c r="K27" s="244">
        <f>F27-12926</f>
        <v>12020.02</v>
      </c>
      <c r="L27" s="244">
        <f>F27/12926*100</f>
        <v>192.99102583939347</v>
      </c>
      <c r="M27" s="239">
        <f>E27-червень!E27</f>
        <v>4535</v>
      </c>
      <c r="N27" s="239">
        <f>F27-червень!F27</f>
        <v>1209.170000000002</v>
      </c>
      <c r="O27" s="240">
        <f t="shared" si="4"/>
        <v>-3325.829999999998</v>
      </c>
      <c r="P27" s="240">
        <f>N27/M27*100</f>
        <v>26.663065049614154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54805.04</v>
      </c>
      <c r="G28" s="241">
        <f t="shared" si="0"/>
        <v>-4554.129999999997</v>
      </c>
      <c r="H28" s="242">
        <f t="shared" si="1"/>
        <v>92.32784083739716</v>
      </c>
      <c r="I28" s="243">
        <f t="shared" si="2"/>
        <v>44762.04</v>
      </c>
      <c r="J28" s="243">
        <f t="shared" si="3"/>
        <v>545.7038733446182</v>
      </c>
      <c r="K28" s="244">
        <f>F28-36663.53</f>
        <v>18141.510000000002</v>
      </c>
      <c r="L28" s="244">
        <f>F28/36663.53*100</f>
        <v>149.4810783358831</v>
      </c>
      <c r="M28" s="239">
        <f>E28-червень!E28</f>
        <v>9534</v>
      </c>
      <c r="N28" s="239">
        <f>F28-червень!F28</f>
        <v>2216.1500000000015</v>
      </c>
      <c r="O28" s="240">
        <f t="shared" si="4"/>
        <v>-7317.8499999999985</v>
      </c>
      <c r="P28" s="240">
        <f>N28/M28*100</f>
        <v>23.244703167610673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55.63</v>
      </c>
      <c r="G29" s="190">
        <f t="shared" si="0"/>
        <v>14.720000000000006</v>
      </c>
      <c r="H29" s="197">
        <f t="shared" si="1"/>
        <v>135.98142263505258</v>
      </c>
      <c r="I29" s="198">
        <f t="shared" si="2"/>
        <v>-21.369999999999997</v>
      </c>
      <c r="J29" s="198">
        <f t="shared" si="3"/>
        <v>72.24675324675324</v>
      </c>
      <c r="K29" s="198">
        <f>F29-37.42</f>
        <v>18.21</v>
      </c>
      <c r="L29" s="198">
        <f>F29/37.42*100</f>
        <v>148.66381614110102</v>
      </c>
      <c r="M29" s="197">
        <f>E29-червень!E29</f>
        <v>5.199999999999996</v>
      </c>
      <c r="N29" s="200">
        <f>F29-червень!F29</f>
        <v>0.010000000000005116</v>
      </c>
      <c r="O29" s="201">
        <f t="shared" si="4"/>
        <v>-5.189999999999991</v>
      </c>
      <c r="P29" s="198">
        <f>N29/M29*100</f>
        <v>0.19230769230779085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-134.4</v>
      </c>
      <c r="G30" s="190">
        <f t="shared" si="0"/>
        <v>-134.4</v>
      </c>
      <c r="H30" s="197"/>
      <c r="I30" s="198">
        <f t="shared" si="2"/>
        <v>-134.4</v>
      </c>
      <c r="J30" s="198"/>
      <c r="K30" s="198">
        <f>F30-(-403.36)</f>
        <v>268.96000000000004</v>
      </c>
      <c r="L30" s="198">
        <f>F30/(-403.36)*100</f>
        <v>33.32011106703689</v>
      </c>
      <c r="M30" s="197">
        <f>E30-червень!E30</f>
        <v>0</v>
      </c>
      <c r="N30" s="200">
        <f>F30-червень!F30</f>
        <v>-9.36</v>
      </c>
      <c r="O30" s="201">
        <f t="shared" si="4"/>
        <v>-9.36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81954.46</v>
      </c>
      <c r="G31" s="202">
        <f t="shared" si="0"/>
        <v>1812.4200000000128</v>
      </c>
      <c r="H31" s="204">
        <f t="shared" si="1"/>
        <v>102.26150968954624</v>
      </c>
      <c r="I31" s="205">
        <f t="shared" si="2"/>
        <v>-27508.539999999994</v>
      </c>
      <c r="J31" s="205">
        <f t="shared" si="3"/>
        <v>74.86955409590456</v>
      </c>
      <c r="K31" s="219">
        <f>F31-46052.97</f>
        <v>35901.490000000005</v>
      </c>
      <c r="L31" s="219">
        <f>F31/46052.97*100</f>
        <v>177.95694827065444</v>
      </c>
      <c r="M31" s="197">
        <f>E31-червень!E31</f>
        <v>10100</v>
      </c>
      <c r="N31" s="200">
        <f>F31-червень!F31</f>
        <v>8737.770000000004</v>
      </c>
      <c r="O31" s="207">
        <f t="shared" si="4"/>
        <v>-1362.229999999996</v>
      </c>
      <c r="P31" s="205">
        <f>N31/M31*100</f>
        <v>86.51257425742578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20129.33</v>
      </c>
      <c r="G33" s="109">
        <f t="shared" si="0"/>
        <v>433.3600000000006</v>
      </c>
      <c r="H33" s="111">
        <f t="shared" si="1"/>
        <v>102.20024705561595</v>
      </c>
      <c r="I33" s="110">
        <f t="shared" si="2"/>
        <v>-7470.669999999998</v>
      </c>
      <c r="J33" s="110">
        <f t="shared" si="3"/>
        <v>72.93235507246378</v>
      </c>
      <c r="K33" s="142">
        <f>F33-11423.16</f>
        <v>8706.170000000002</v>
      </c>
      <c r="L33" s="142">
        <f>F33/11423.16*100</f>
        <v>176.21507533817265</v>
      </c>
      <c r="M33" s="111">
        <f>E33-червень!E33</f>
        <v>2000</v>
      </c>
      <c r="N33" s="179">
        <f>F33-червень!F33</f>
        <v>1816.2700000000004</v>
      </c>
      <c r="O33" s="112">
        <f t="shared" si="4"/>
        <v>-183.72999999999956</v>
      </c>
      <c r="P33" s="110">
        <f>N33/M33*100</f>
        <v>90.81350000000002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61810.89</v>
      </c>
      <c r="G34" s="109">
        <f t="shared" si="0"/>
        <v>1374.8099999999977</v>
      </c>
      <c r="H34" s="111">
        <f t="shared" si="1"/>
        <v>102.27481663271342</v>
      </c>
      <c r="I34" s="110">
        <f t="shared" si="2"/>
        <v>-20001.11</v>
      </c>
      <c r="J34" s="110">
        <f t="shared" si="3"/>
        <v>75.55235173324206</v>
      </c>
      <c r="K34" s="142">
        <f>F34-34622.85</f>
        <v>27188.04</v>
      </c>
      <c r="L34" s="142">
        <f>F34/34622.85*100</f>
        <v>178.5262911632058</v>
      </c>
      <c r="M34" s="111">
        <f>E34-червень!E34</f>
        <v>8100</v>
      </c>
      <c r="N34" s="179">
        <f>F34-червень!F34</f>
        <v>6921.440000000002</v>
      </c>
      <c r="O34" s="112">
        <f t="shared" si="4"/>
        <v>-1178.5599999999977</v>
      </c>
      <c r="P34" s="110">
        <f>N34/M34*100</f>
        <v>85.4498765432099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34508.18</v>
      </c>
      <c r="G37" s="191">
        <f>G38+G39+G40+G41+G42+G44+G46+G47+G48+G49+G50+G55+G56+G60</f>
        <v>9348.29</v>
      </c>
      <c r="H37" s="192">
        <f>F37/E37*100</f>
        <v>137.23112554944063</v>
      </c>
      <c r="I37" s="193">
        <f>F37-D37</f>
        <v>-8311.82</v>
      </c>
      <c r="J37" s="193">
        <f>F37/D37*100</f>
        <v>80.58893040635218</v>
      </c>
      <c r="K37" s="191">
        <f>F37-15873</f>
        <v>18635.18</v>
      </c>
      <c r="L37" s="191">
        <f>F37/15873*100</f>
        <v>217.4017514017514</v>
      </c>
      <c r="M37" s="191">
        <f>M38+M39+M40+M41+M42+M44+M46+M47+M48+M49+M50+M55+M56+M60</f>
        <v>3647.9999999999995</v>
      </c>
      <c r="N37" s="191">
        <f>N38+N39+N40+N41+N42+N44+N46+N47+N48+N49+N50+N55+N56+N60+N43</f>
        <v>5247.53</v>
      </c>
      <c r="O37" s="191">
        <f>O38+O39+O40+O41+O42+O44+O46+O47+O48+O49+O50+O55+O56+O60</f>
        <v>1599.2700000000004</v>
      </c>
      <c r="P37" s="191">
        <f>N37/M37*100</f>
        <v>143.8467653508772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241.19</v>
      </c>
      <c r="G38" s="202">
        <f>F38-E38</f>
        <v>171.19</v>
      </c>
      <c r="H38" s="204">
        <f aca="true" t="shared" si="7" ref="H38:H61">F38/E38*100</f>
        <v>344.5571428571429</v>
      </c>
      <c r="I38" s="205">
        <f>F38-D38</f>
        <v>141.19</v>
      </c>
      <c r="J38" s="205">
        <f>F38/D38*100</f>
        <v>241.19000000000003</v>
      </c>
      <c r="K38" s="205">
        <f>F38-100.4</f>
        <v>140.79</v>
      </c>
      <c r="L38" s="205">
        <f>F38/100.4*100</f>
        <v>240.22908366533864</v>
      </c>
      <c r="M38" s="204">
        <f>E38-червень!E38</f>
        <v>3</v>
      </c>
      <c r="N38" s="208">
        <f>F38-червень!F38</f>
        <v>1.0200000000000102</v>
      </c>
      <c r="O38" s="207">
        <f>N38-M38</f>
        <v>-1.9799999999999898</v>
      </c>
      <c r="P38" s="205">
        <f aca="true" t="shared" si="8" ref="P38:P61">N38/M38*100</f>
        <v>34.00000000000034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68.91</v>
      </c>
      <c r="G42" s="202">
        <f t="shared" si="9"/>
        <v>-1.0900000000000034</v>
      </c>
      <c r="H42" s="204">
        <f t="shared" si="7"/>
        <v>98.44285714285715</v>
      </c>
      <c r="I42" s="205">
        <f t="shared" si="10"/>
        <v>-81.09</v>
      </c>
      <c r="J42" s="205">
        <f t="shared" si="12"/>
        <v>45.94</v>
      </c>
      <c r="K42" s="205">
        <f>F42-81.62</f>
        <v>-12.710000000000008</v>
      </c>
      <c r="L42" s="205">
        <f>F42/81.62*100</f>
        <v>84.42783631462876</v>
      </c>
      <c r="M42" s="204">
        <f>E42-червень!E42</f>
        <v>10</v>
      </c>
      <c r="N42" s="208">
        <f>F42-червень!F42</f>
        <v>7.939999999999998</v>
      </c>
      <c r="O42" s="207">
        <f t="shared" si="11"/>
        <v>-2.0600000000000023</v>
      </c>
      <c r="P42" s="205">
        <f t="shared" si="8"/>
        <v>79.39999999999998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215.2</v>
      </c>
      <c r="G44" s="202">
        <f t="shared" si="9"/>
        <v>167.2</v>
      </c>
      <c r="H44" s="204">
        <f t="shared" si="7"/>
        <v>448.3333333333333</v>
      </c>
      <c r="I44" s="205">
        <f t="shared" si="10"/>
        <v>125.19999999999999</v>
      </c>
      <c r="J44" s="205">
        <f t="shared" si="12"/>
        <v>239.1111111111111</v>
      </c>
      <c r="K44" s="205">
        <f>F44-0</f>
        <v>215.2</v>
      </c>
      <c r="L44" s="205"/>
      <c r="M44" s="204">
        <f>E44-червень!E44</f>
        <v>8</v>
      </c>
      <c r="N44" s="208">
        <f>F44-червень!F44</f>
        <v>47.119999999999976</v>
      </c>
      <c r="O44" s="207">
        <f t="shared" si="11"/>
        <v>39.119999999999976</v>
      </c>
      <c r="P44" s="205">
        <f t="shared" si="8"/>
        <v>588.9999999999997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5582.23</v>
      </c>
      <c r="G46" s="202">
        <f t="shared" si="9"/>
        <v>243.20999999999913</v>
      </c>
      <c r="H46" s="204">
        <f t="shared" si="7"/>
        <v>104.55533037898338</v>
      </c>
      <c r="I46" s="205">
        <f t="shared" si="10"/>
        <v>-4317.77</v>
      </c>
      <c r="J46" s="205">
        <f t="shared" si="12"/>
        <v>56.386161616161615</v>
      </c>
      <c r="K46" s="205">
        <f>F46-4927.6</f>
        <v>654.6299999999992</v>
      </c>
      <c r="L46" s="205">
        <f>F46/4927.6*100</f>
        <v>113.28496631220064</v>
      </c>
      <c r="M46" s="204">
        <f>E46-червень!E46</f>
        <v>800</v>
      </c>
      <c r="N46" s="208">
        <f>F46-червень!F46</f>
        <v>581.1699999999992</v>
      </c>
      <c r="O46" s="207">
        <f t="shared" si="11"/>
        <v>-218.83000000000084</v>
      </c>
      <c r="P46" s="205">
        <f t="shared" si="8"/>
        <v>72.6462499999999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95.72</v>
      </c>
      <c r="G47" s="202">
        <f t="shared" si="9"/>
        <v>-684.28</v>
      </c>
      <c r="H47" s="204">
        <f t="shared" si="7"/>
        <v>12.271794871794873</v>
      </c>
      <c r="I47" s="205">
        <f t="shared" si="10"/>
        <v>-1404.28</v>
      </c>
      <c r="J47" s="205">
        <f t="shared" si="12"/>
        <v>6.381333333333333</v>
      </c>
      <c r="K47" s="205">
        <f>F47-0</f>
        <v>95.72</v>
      </c>
      <c r="L47" s="205"/>
      <c r="M47" s="204">
        <f>E47-червень!E47</f>
        <v>130</v>
      </c>
      <c r="N47" s="208">
        <f>F47-червень!F47</f>
        <v>26.799999999999997</v>
      </c>
      <c r="O47" s="207">
        <f t="shared" si="11"/>
        <v>-103.2</v>
      </c>
      <c r="P47" s="205">
        <f t="shared" si="8"/>
        <v>20.615384615384613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3455.31</v>
      </c>
      <c r="G50" s="202">
        <f t="shared" si="9"/>
        <v>-416.8800000000001</v>
      </c>
      <c r="H50" s="204">
        <f t="shared" si="7"/>
        <v>89.2339993647006</v>
      </c>
      <c r="I50" s="205">
        <f t="shared" si="10"/>
        <v>-3844.69</v>
      </c>
      <c r="J50" s="205">
        <f t="shared" si="12"/>
        <v>47.33301369863014</v>
      </c>
      <c r="K50" s="205">
        <f>F50-4033.24</f>
        <v>-577.9299999999998</v>
      </c>
      <c r="L50" s="205">
        <f>F50/4033.24*100</f>
        <v>85.67082544058871</v>
      </c>
      <c r="M50" s="204">
        <f>E50-червень!E50</f>
        <v>653</v>
      </c>
      <c r="N50" s="208">
        <f>F50-червень!F50</f>
        <v>360.67999999999984</v>
      </c>
      <c r="O50" s="207">
        <f t="shared" si="11"/>
        <v>-292.32000000000016</v>
      </c>
      <c r="P50" s="205">
        <f t="shared" si="8"/>
        <v>55.234303215926474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463.32</v>
      </c>
      <c r="G51" s="36">
        <f t="shared" si="9"/>
        <v>-180.67000000000002</v>
      </c>
      <c r="H51" s="32">
        <f t="shared" si="7"/>
        <v>71.9452165406295</v>
      </c>
      <c r="I51" s="110">
        <f t="shared" si="10"/>
        <v>-636.6800000000001</v>
      </c>
      <c r="J51" s="110">
        <f t="shared" si="12"/>
        <v>42.120000000000005</v>
      </c>
      <c r="K51" s="110">
        <f>F51-582.74</f>
        <v>-119.42000000000002</v>
      </c>
      <c r="L51" s="110">
        <f>F51/582.74*100</f>
        <v>79.50715584995022</v>
      </c>
      <c r="M51" s="111">
        <f>E51-червень!E51</f>
        <v>92</v>
      </c>
      <c r="N51" s="179">
        <f>F51-червень!F51</f>
        <v>42.64999999999998</v>
      </c>
      <c r="O51" s="112">
        <f t="shared" si="11"/>
        <v>-49.35000000000002</v>
      </c>
      <c r="P51" s="132">
        <f t="shared" si="8"/>
        <v>46.358695652173886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0.25</v>
      </c>
      <c r="G52" s="36">
        <f t="shared" si="9"/>
        <v>-5.79</v>
      </c>
      <c r="H52" s="32">
        <f t="shared" si="7"/>
        <v>4.13907284768212</v>
      </c>
      <c r="I52" s="110">
        <f t="shared" si="10"/>
        <v>-44.75</v>
      </c>
      <c r="J52" s="110">
        <f t="shared" si="12"/>
        <v>0.5555555555555556</v>
      </c>
      <c r="K52" s="110">
        <f>F52-45.15</f>
        <v>-44.9</v>
      </c>
      <c r="L52" s="110">
        <f>F52/45.15*100</f>
        <v>0.5537098560354374</v>
      </c>
      <c r="M52" s="111">
        <f>E52-червень!E52</f>
        <v>1</v>
      </c>
      <c r="N52" s="179">
        <f>F52-червень!F52</f>
        <v>0.010000000000000009</v>
      </c>
      <c r="O52" s="112">
        <f t="shared" si="11"/>
        <v>-0.99</v>
      </c>
      <c r="P52" s="132">
        <f t="shared" si="8"/>
        <v>1.0000000000000009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2991.73</v>
      </c>
      <c r="G54" s="36">
        <f t="shared" si="9"/>
        <v>-230.44000000000005</v>
      </c>
      <c r="H54" s="32">
        <f t="shared" si="7"/>
        <v>92.84829788620712</v>
      </c>
      <c r="I54" s="110">
        <f t="shared" si="10"/>
        <v>-3162.27</v>
      </c>
      <c r="J54" s="110">
        <f t="shared" si="12"/>
        <v>48.614397140071496</v>
      </c>
      <c r="K54" s="110">
        <f>F54-3404.6</f>
        <v>-412.8699999999999</v>
      </c>
      <c r="L54" s="110">
        <f>F54/3404.6*100</f>
        <v>87.87317159137638</v>
      </c>
      <c r="M54" s="111">
        <f>E54-червень!E54</f>
        <v>560</v>
      </c>
      <c r="N54" s="179">
        <f>F54-червень!F54</f>
        <v>318.02</v>
      </c>
      <c r="O54" s="112">
        <f t="shared" si="11"/>
        <v>-241.98000000000002</v>
      </c>
      <c r="P54" s="132">
        <f t="shared" si="8"/>
        <v>56.78928571428571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2949.39</v>
      </c>
      <c r="G56" s="202">
        <f t="shared" si="9"/>
        <v>311.40999999999985</v>
      </c>
      <c r="H56" s="204">
        <f t="shared" si="7"/>
        <v>111.80486584432028</v>
      </c>
      <c r="I56" s="205">
        <f t="shared" si="10"/>
        <v>-1850.6100000000001</v>
      </c>
      <c r="J56" s="205">
        <f t="shared" si="12"/>
        <v>61.44562499999999</v>
      </c>
      <c r="K56" s="205">
        <f>F56-2236.15</f>
        <v>713.2399999999998</v>
      </c>
      <c r="L56" s="205">
        <f>F56/2236.15*100</f>
        <v>131.89589249379512</v>
      </c>
      <c r="M56" s="204">
        <f>E56-червень!E56</f>
        <v>370</v>
      </c>
      <c r="N56" s="208">
        <f>F56-червень!F56</f>
        <v>240.25</v>
      </c>
      <c r="O56" s="207">
        <f t="shared" si="11"/>
        <v>-129.75</v>
      </c>
      <c r="P56" s="205">
        <f t="shared" si="8"/>
        <v>64.93243243243244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682.59</v>
      </c>
      <c r="G58" s="202"/>
      <c r="H58" s="204"/>
      <c r="I58" s="205"/>
      <c r="J58" s="205"/>
      <c r="K58" s="206">
        <f>F58-577.4</f>
        <v>105.19000000000005</v>
      </c>
      <c r="L58" s="206">
        <f>F58/577.4*100</f>
        <v>118.21787322480084</v>
      </c>
      <c r="M58" s="236"/>
      <c r="N58" s="220">
        <f>F58-червень!F58</f>
        <v>90.33000000000004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0.86</v>
      </c>
      <c r="G62" s="202">
        <f t="shared" si="9"/>
        <v>0.86</v>
      </c>
      <c r="H62" s="204"/>
      <c r="I62" s="205">
        <f t="shared" si="10"/>
        <v>0.26</v>
      </c>
      <c r="J62" s="205"/>
      <c r="K62" s="205">
        <f>F62-0.02</f>
        <v>0.84</v>
      </c>
      <c r="L62" s="205"/>
      <c r="M62" s="204">
        <f>E62-травень!E62</f>
        <v>0</v>
      </c>
      <c r="N62" s="208">
        <f>F62-червень!F62</f>
        <v>0.45999999999999996</v>
      </c>
      <c r="O62" s="207">
        <f t="shared" si="11"/>
        <v>0.45999999999999996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523986.245</v>
      </c>
      <c r="G63" s="191">
        <f>F63-E63</f>
        <v>-710.5650000000605</v>
      </c>
      <c r="H63" s="192">
        <f>F63/E63*100</f>
        <v>99.8645760777543</v>
      </c>
      <c r="I63" s="193">
        <f>F63-D63</f>
        <v>-359914.355</v>
      </c>
      <c r="J63" s="193">
        <f>F63/D63*100</f>
        <v>59.2811278779537</v>
      </c>
      <c r="K63" s="193">
        <f>F63-320998.67</f>
        <v>202987.575</v>
      </c>
      <c r="L63" s="193">
        <f>F63/320998.67*100</f>
        <v>163.23626667985883</v>
      </c>
      <c r="M63" s="191">
        <f>M8+M37+M61+M62</f>
        <v>82950.80000000003</v>
      </c>
      <c r="N63" s="191">
        <f>N8+N37+N61+N62</f>
        <v>29200.24500000004</v>
      </c>
      <c r="O63" s="195">
        <f>N63-M63</f>
        <v>-53750.55499999999</v>
      </c>
      <c r="P63" s="193">
        <f>N63/M63*100</f>
        <v>35.2018847316723</v>
      </c>
      <c r="Q63" s="28">
        <f>N63-34768</f>
        <v>-5567.754999999961</v>
      </c>
      <c r="R63" s="128">
        <f>N63/34768</f>
        <v>0.8398597848596422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1042.07</v>
      </c>
      <c r="G72" s="202">
        <f aca="true" t="shared" si="13" ref="G72:G82">F72-E72</f>
        <v>-757.9300000000001</v>
      </c>
      <c r="H72" s="204"/>
      <c r="I72" s="207">
        <f aca="true" t="shared" si="14" ref="I72:I82">F72-D72</f>
        <v>-3157.9300000000003</v>
      </c>
      <c r="J72" s="207">
        <f>F72/D72*100</f>
        <v>24.811190476190475</v>
      </c>
      <c r="K72" s="207">
        <f>F72-194</f>
        <v>848.0699999999999</v>
      </c>
      <c r="L72" s="207">
        <f>F72/194*100</f>
        <v>537.1494845360825</v>
      </c>
      <c r="M72" s="204">
        <f>E72-червень!E72</f>
        <v>387</v>
      </c>
      <c r="N72" s="208">
        <f>F72-червень!F72</f>
        <v>0.049999999999954525</v>
      </c>
      <c r="O72" s="207">
        <f aca="true" t="shared" si="15" ref="O72:O85">N72-M72</f>
        <v>-386.95000000000005</v>
      </c>
      <c r="P72" s="207">
        <f>N72/M72*100</f>
        <v>0.012919896640815122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1353.09</v>
      </c>
      <c r="G73" s="202">
        <f t="shared" si="13"/>
        <v>-1974.22</v>
      </c>
      <c r="H73" s="204">
        <f>F73/E73*100</f>
        <v>40.666183794115966</v>
      </c>
      <c r="I73" s="207">
        <f t="shared" si="14"/>
        <v>-6105.91</v>
      </c>
      <c r="J73" s="207">
        <f>F73/D73*100</f>
        <v>18.140367341466686</v>
      </c>
      <c r="K73" s="207">
        <f>F73-3257.07</f>
        <v>-1903.9800000000002</v>
      </c>
      <c r="L73" s="207">
        <f>F73/3257.07*100</f>
        <v>41.54316609713638</v>
      </c>
      <c r="M73" s="204">
        <f>E73-червень!E73</f>
        <v>1093.6</v>
      </c>
      <c r="N73" s="208">
        <f>F73-червень!F73</f>
        <v>417.04999999999995</v>
      </c>
      <c r="O73" s="207">
        <f t="shared" si="15"/>
        <v>-676.55</v>
      </c>
      <c r="P73" s="207">
        <f>N73/M73*100</f>
        <v>38.13551572787125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9387.3</v>
      </c>
      <c r="G74" s="202">
        <f t="shared" si="13"/>
        <v>7292.449999999999</v>
      </c>
      <c r="H74" s="204">
        <f>F74/E74*100</f>
        <v>448.113230064205</v>
      </c>
      <c r="I74" s="207">
        <f t="shared" si="14"/>
        <v>3387.2999999999993</v>
      </c>
      <c r="J74" s="207">
        <f>F74/D74*100</f>
        <v>156.45499999999998</v>
      </c>
      <c r="K74" s="207">
        <f>F74-1818.42</f>
        <v>7568.879999999999</v>
      </c>
      <c r="L74" s="207">
        <f>F74/1818.42*100</f>
        <v>516.2338733625894</v>
      </c>
      <c r="M74" s="204">
        <f>E74-червень!E74</f>
        <v>302</v>
      </c>
      <c r="N74" s="208">
        <f>F74-червень!F74</f>
        <v>12.789999999999054</v>
      </c>
      <c r="O74" s="207">
        <f t="shared" si="15"/>
        <v>-289.21000000000095</v>
      </c>
      <c r="P74" s="207">
        <f>N74/M74*100</f>
        <v>4.235099337748031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11788.46</v>
      </c>
      <c r="G76" s="226">
        <f t="shared" si="13"/>
        <v>4559.299999999999</v>
      </c>
      <c r="H76" s="227">
        <f>F76/E76*100</f>
        <v>163.06818496201493</v>
      </c>
      <c r="I76" s="228">
        <f t="shared" si="14"/>
        <v>-5882.540000000001</v>
      </c>
      <c r="J76" s="228">
        <f>F76/D76*100</f>
        <v>66.71076905664648</v>
      </c>
      <c r="K76" s="228">
        <f>F76-5269.49</f>
        <v>6518.969999999999</v>
      </c>
      <c r="L76" s="228">
        <f>F76/5269.49*100</f>
        <v>223.71159258296345</v>
      </c>
      <c r="M76" s="226">
        <f>M72+M73+M74+M75</f>
        <v>1783.6</v>
      </c>
      <c r="N76" s="230">
        <f>N72+N73+N74+N75</f>
        <v>429.88999999999896</v>
      </c>
      <c r="O76" s="228">
        <f t="shared" si="15"/>
        <v>-1353.710000000001</v>
      </c>
      <c r="P76" s="228">
        <f>N76/M76*100</f>
        <v>24.102377214622056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5.21</v>
      </c>
      <c r="G77" s="202">
        <f t="shared" si="13"/>
        <v>5.21</v>
      </c>
      <c r="H77" s="204"/>
      <c r="I77" s="207">
        <f t="shared" si="14"/>
        <v>4.21</v>
      </c>
      <c r="J77" s="207"/>
      <c r="K77" s="207">
        <f>F77-0</f>
        <v>5.21</v>
      </c>
      <c r="L77" s="207"/>
      <c r="M77" s="204">
        <f>E77-червень!E77</f>
        <v>0</v>
      </c>
      <c r="N77" s="208">
        <f>F77-червень!F77</f>
        <v>0.019999999999999574</v>
      </c>
      <c r="O77" s="207">
        <f t="shared" si="15"/>
        <v>0.019999999999999574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4894.13</v>
      </c>
      <c r="G79" s="202">
        <f t="shared" si="13"/>
        <v>-233.17000000000007</v>
      </c>
      <c r="H79" s="204">
        <f>F79/E79*100</f>
        <v>95.45238234548398</v>
      </c>
      <c r="I79" s="207">
        <f t="shared" si="14"/>
        <v>-4605.87</v>
      </c>
      <c r="J79" s="207">
        <f>F79/D79*100</f>
        <v>51.51715789473684</v>
      </c>
      <c r="K79" s="207">
        <f>F79-0</f>
        <v>4894.13</v>
      </c>
      <c r="L79" s="207"/>
      <c r="M79" s="204">
        <f>E79-червень!E79</f>
        <v>10</v>
      </c>
      <c r="N79" s="208">
        <f>F79-червень!F79</f>
        <v>3.6900000000005093</v>
      </c>
      <c r="O79" s="207">
        <f>N79-M79</f>
        <v>-6.309999999999491</v>
      </c>
      <c r="P79" s="231">
        <f>N79/M79*100</f>
        <v>36.90000000000509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4900.150000000001</v>
      </c>
      <c r="G81" s="224">
        <f>G77+G80+G78+G79</f>
        <v>-227.15000000000006</v>
      </c>
      <c r="H81" s="227">
        <f>F81/E81*100</f>
        <v>95.5697930684766</v>
      </c>
      <c r="I81" s="228">
        <f t="shared" si="14"/>
        <v>-4600.849999999999</v>
      </c>
      <c r="J81" s="228">
        <f>F81/D81*100</f>
        <v>51.575097358172826</v>
      </c>
      <c r="K81" s="228">
        <f>F81-1.06</f>
        <v>4899.09</v>
      </c>
      <c r="L81" s="228">
        <f>F81/1.06*100</f>
        <v>462278.30188679247</v>
      </c>
      <c r="M81" s="226">
        <f>M77+M80+M78+M79</f>
        <v>10</v>
      </c>
      <c r="N81" s="230">
        <f>N77+N80+N78+N79</f>
        <v>3.710000000000509</v>
      </c>
      <c r="O81" s="226">
        <f>O77+O80+O78+O79</f>
        <v>-6.289999999999491</v>
      </c>
      <c r="P81" s="228">
        <f>N81/M81*100</f>
        <v>37.10000000000509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18.45</v>
      </c>
      <c r="G82" s="202">
        <f t="shared" si="13"/>
        <v>-1.8500000000000014</v>
      </c>
      <c r="H82" s="204">
        <f>F82/E82*100</f>
        <v>90.88669950738915</v>
      </c>
      <c r="I82" s="207">
        <f t="shared" si="14"/>
        <v>-24.55</v>
      </c>
      <c r="J82" s="207">
        <f>F82/D82*100</f>
        <v>42.90697674418604</v>
      </c>
      <c r="K82" s="207">
        <f>F82-19.94</f>
        <v>-1.490000000000002</v>
      </c>
      <c r="L82" s="207">
        <f>F82/19.94*100</f>
        <v>92.52758274824473</v>
      </c>
      <c r="M82" s="204">
        <f>E82-червень!E82</f>
        <v>0.6000000000000014</v>
      </c>
      <c r="N82" s="208">
        <f>F82-червень!F82</f>
        <v>0.1999999999999993</v>
      </c>
      <c r="O82" s="207">
        <f t="shared" si="15"/>
        <v>-0.40000000000000213</v>
      </c>
      <c r="P82" s="207">
        <f>N82/M82</f>
        <v>0.33333333333333137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16704.77</v>
      </c>
      <c r="G84" s="233">
        <f>F84-E84</f>
        <v>4328.01</v>
      </c>
      <c r="H84" s="234">
        <f>F84/E84*100</f>
        <v>134.9688448349972</v>
      </c>
      <c r="I84" s="235">
        <f>F84-D84</f>
        <v>-10510.23</v>
      </c>
      <c r="J84" s="235">
        <f>F84/D84*100</f>
        <v>61.38074591218079</v>
      </c>
      <c r="K84" s="235">
        <f>F84-5259.67</f>
        <v>11445.1</v>
      </c>
      <c r="L84" s="235">
        <f>F84/5259.67*100</f>
        <v>317.60110425178766</v>
      </c>
      <c r="M84" s="232">
        <f>M70+M82+M76+M81</f>
        <v>1794.1999999999998</v>
      </c>
      <c r="N84" s="232">
        <f>N70+N82+N76+N81+N83</f>
        <v>433.79999999999944</v>
      </c>
      <c r="O84" s="235">
        <f t="shared" si="15"/>
        <v>-1360.4000000000003</v>
      </c>
      <c r="P84" s="235">
        <f>N84/M84*100</f>
        <v>24.1779065878943</v>
      </c>
      <c r="Q84" s="28">
        <f>N84-8104.96</f>
        <v>-7671.160000000001</v>
      </c>
      <c r="R84" s="101">
        <f>N84/8104.96</f>
        <v>0.053522781111812946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540691.015</v>
      </c>
      <c r="G85" s="233">
        <f>F85-E85</f>
        <v>3617.444999999949</v>
      </c>
      <c r="H85" s="234">
        <f>F85/E85*100</f>
        <v>100.67354738755809</v>
      </c>
      <c r="I85" s="235">
        <f>F85-D85</f>
        <v>-370424.58499999996</v>
      </c>
      <c r="J85" s="235">
        <f>F85/D85*100</f>
        <v>59.343843415698295</v>
      </c>
      <c r="K85" s="235">
        <f>F85-320998.67-5259.67</f>
        <v>214432.67500000002</v>
      </c>
      <c r="L85" s="235">
        <f>F85/(265734.15+4325.48)*100</f>
        <v>200.21171435360407</v>
      </c>
      <c r="M85" s="233">
        <f>M63+M84</f>
        <v>84745.00000000003</v>
      </c>
      <c r="N85" s="233">
        <f>N63+N84</f>
        <v>29634.04500000004</v>
      </c>
      <c r="O85" s="235">
        <f t="shared" si="15"/>
        <v>-55110.95499999999</v>
      </c>
      <c r="P85" s="235">
        <f>N85/M85*100</f>
        <v>34.96848781639038</v>
      </c>
      <c r="Q85" s="28">
        <f>N85-42872.96</f>
        <v>-13238.91499999996</v>
      </c>
      <c r="R85" s="101">
        <f>N85/42872.96</f>
        <v>0.6912059489244512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9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5972.283888888888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42569</v>
      </c>
      <c r="D89" s="31">
        <v>3029.3</v>
      </c>
      <c r="G89" s="4" t="s">
        <v>59</v>
      </c>
      <c r="N89" s="263"/>
      <c r="O89" s="263"/>
    </row>
    <row r="90" spans="3:15" ht="15">
      <c r="C90" s="87">
        <v>42566</v>
      </c>
      <c r="D90" s="31">
        <v>6453.5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42565</v>
      </c>
      <c r="D91" s="31">
        <v>4002.8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5635.5291799999995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 hidden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319.46</v>
      </c>
      <c r="G96" s="73">
        <f>G44+G47+G48</f>
        <v>-532.54</v>
      </c>
      <c r="H96" s="74"/>
      <c r="I96" s="74"/>
      <c r="M96" s="31">
        <f>M44+M47+M48</f>
        <v>142</v>
      </c>
      <c r="N96" s="246">
        <f>N44+N47+N48</f>
        <v>73.91999999999997</v>
      </c>
      <c r="O96" s="31">
        <f>O44+O47+O48</f>
        <v>-68.08000000000003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7" sqref="O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172</v>
      </c>
      <c r="N3" s="288" t="s">
        <v>173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170</v>
      </c>
      <c r="F4" s="291" t="s">
        <v>34</v>
      </c>
      <c r="G4" s="265" t="s">
        <v>171</v>
      </c>
      <c r="H4" s="273" t="s">
        <v>175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178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92"/>
      <c r="G5" s="266"/>
      <c r="H5" s="274"/>
      <c r="I5" s="266"/>
      <c r="J5" s="274"/>
      <c r="K5" s="268" t="s">
        <v>174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63"/>
      <c r="O89" s="263"/>
    </row>
    <row r="90" spans="3:15" ht="15">
      <c r="C90" s="87">
        <v>42550</v>
      </c>
      <c r="D90" s="31">
        <v>11029.3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42545</v>
      </c>
      <c r="D91" s="31">
        <v>6499.7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9447.89588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162</v>
      </c>
      <c r="N3" s="288" t="s">
        <v>163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158</v>
      </c>
      <c r="F4" s="293" t="s">
        <v>34</v>
      </c>
      <c r="G4" s="265" t="s">
        <v>159</v>
      </c>
      <c r="H4" s="273" t="s">
        <v>160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169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161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63"/>
      <c r="O89" s="263"/>
    </row>
    <row r="90" spans="3:15" ht="15">
      <c r="C90" s="87">
        <v>42520</v>
      </c>
      <c r="D90" s="31">
        <v>8891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42517</v>
      </c>
      <c r="D91" s="31">
        <v>7356.3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2811.04042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153</v>
      </c>
      <c r="N3" s="288" t="s">
        <v>154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150</v>
      </c>
      <c r="F4" s="293" t="s">
        <v>34</v>
      </c>
      <c r="G4" s="265" t="s">
        <v>151</v>
      </c>
      <c r="H4" s="273" t="s">
        <v>152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157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155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0"/>
      <c r="H84" s="270"/>
      <c r="I84" s="270"/>
      <c r="J84" s="27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57"/>
      <c r="H86" s="257"/>
      <c r="I86" s="131"/>
      <c r="J86" s="260"/>
      <c r="K86" s="260"/>
      <c r="L86" s="260"/>
      <c r="M86" s="260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57"/>
      <c r="H87" s="257"/>
      <c r="I87" s="131"/>
      <c r="J87" s="264"/>
      <c r="K87" s="264"/>
      <c r="L87" s="264"/>
      <c r="M87" s="264"/>
      <c r="N87" s="263"/>
      <c r="O87" s="263"/>
    </row>
    <row r="88" spans="3:13" ht="15.75" customHeight="1">
      <c r="C88" s="87"/>
      <c r="F88" s="73"/>
      <c r="G88" s="259"/>
      <c r="H88" s="259"/>
      <c r="I88" s="139"/>
      <c r="J88" s="260"/>
      <c r="K88" s="260"/>
      <c r="L88" s="260"/>
      <c r="M88" s="260"/>
    </row>
    <row r="89" spans="2:13" ht="18.75" customHeight="1">
      <c r="B89" s="261" t="s">
        <v>57</v>
      </c>
      <c r="C89" s="262"/>
      <c r="D89" s="148">
        <v>9087.9705</v>
      </c>
      <c r="E89" s="74"/>
      <c r="F89" s="140" t="s">
        <v>137</v>
      </c>
      <c r="G89" s="257"/>
      <c r="H89" s="257"/>
      <c r="I89" s="141"/>
      <c r="J89" s="260"/>
      <c r="K89" s="260"/>
      <c r="L89" s="260"/>
      <c r="M89" s="260"/>
    </row>
    <row r="90" spans="6:12" ht="9.75" customHeight="1">
      <c r="F90" s="73"/>
      <c r="G90" s="257"/>
      <c r="H90" s="257"/>
      <c r="I90" s="73"/>
      <c r="J90" s="74"/>
      <c r="K90" s="74"/>
      <c r="L90" s="74"/>
    </row>
    <row r="91" spans="2:12" ht="22.5" customHeight="1" hidden="1">
      <c r="B91" s="255" t="s">
        <v>60</v>
      </c>
      <c r="C91" s="256"/>
      <c r="D91" s="86">
        <v>0</v>
      </c>
      <c r="E91" s="56" t="s">
        <v>24</v>
      </c>
      <c r="F91" s="73"/>
      <c r="G91" s="257"/>
      <c r="H91" s="25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7"/>
      <c r="O92" s="257"/>
    </row>
    <row r="93" spans="4:15" ht="15">
      <c r="D93" s="83"/>
      <c r="I93" s="31"/>
      <c r="N93" s="258"/>
      <c r="O93" s="258"/>
    </row>
    <row r="94" spans="14:15" ht="15">
      <c r="N94" s="257"/>
      <c r="O94" s="25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147</v>
      </c>
      <c r="N3" s="288" t="s">
        <v>143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146</v>
      </c>
      <c r="F4" s="293" t="s">
        <v>34</v>
      </c>
      <c r="G4" s="265" t="s">
        <v>141</v>
      </c>
      <c r="H4" s="273" t="s">
        <v>142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144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f>4343.7</f>
        <v>4343.7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128</v>
      </c>
      <c r="N3" s="288" t="s">
        <v>119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127</v>
      </c>
      <c r="F4" s="293" t="s">
        <v>34</v>
      </c>
      <c r="G4" s="265" t="s">
        <v>116</v>
      </c>
      <c r="H4" s="273" t="s">
        <v>117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140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118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505.3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135</v>
      </c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132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129</v>
      </c>
      <c r="F4" s="293" t="s">
        <v>34</v>
      </c>
      <c r="G4" s="265" t="s">
        <v>130</v>
      </c>
      <c r="H4" s="273" t="s">
        <v>131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97" t="s">
        <v>133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134</v>
      </c>
      <c r="L5" s="269"/>
      <c r="M5" s="274"/>
      <c r="N5" s="298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300.92</v>
      </c>
      <c r="E88" s="74"/>
      <c r="F88" s="140"/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136</v>
      </c>
      <c r="C3" s="282" t="s">
        <v>0</v>
      </c>
      <c r="D3" s="283" t="s">
        <v>115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107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104</v>
      </c>
      <c r="F4" s="299" t="s">
        <v>34</v>
      </c>
      <c r="G4" s="265" t="s">
        <v>109</v>
      </c>
      <c r="H4" s="273" t="s">
        <v>110</v>
      </c>
      <c r="I4" s="265" t="s">
        <v>105</v>
      </c>
      <c r="J4" s="273" t="s">
        <v>106</v>
      </c>
      <c r="K4" s="91" t="s">
        <v>65</v>
      </c>
      <c r="L4" s="96" t="s">
        <v>64</v>
      </c>
      <c r="M4" s="273"/>
      <c r="N4" s="297" t="s">
        <v>103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6.5" customHeight="1">
      <c r="A5" s="280"/>
      <c r="B5" s="281"/>
      <c r="C5" s="282"/>
      <c r="D5" s="283"/>
      <c r="E5" s="290"/>
      <c r="F5" s="300"/>
      <c r="G5" s="266"/>
      <c r="H5" s="274"/>
      <c r="I5" s="266"/>
      <c r="J5" s="274"/>
      <c r="K5" s="268" t="s">
        <v>108</v>
      </c>
      <c r="L5" s="269"/>
      <c r="M5" s="274"/>
      <c r="N5" s="298"/>
      <c r="O5" s="266"/>
      <c r="P5" s="267"/>
      <c r="Q5" s="268" t="s">
        <v>126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0"/>
      <c r="H82" s="270"/>
      <c r="I82" s="270"/>
      <c r="J82" s="27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57"/>
      <c r="H84" s="257"/>
      <c r="I84" s="131"/>
      <c r="J84" s="260"/>
      <c r="K84" s="260"/>
      <c r="L84" s="260"/>
      <c r="M84" s="260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57"/>
      <c r="H85" s="257"/>
      <c r="I85" s="131"/>
      <c r="J85" s="264"/>
      <c r="K85" s="264"/>
      <c r="L85" s="264"/>
      <c r="M85" s="264"/>
      <c r="N85" s="263"/>
      <c r="O85" s="263"/>
    </row>
    <row r="86" spans="3:13" ht="15.75" customHeight="1">
      <c r="C86" s="87"/>
      <c r="F86" s="167"/>
      <c r="G86" s="259"/>
      <c r="H86" s="259"/>
      <c r="I86" s="139"/>
      <c r="J86" s="260"/>
      <c r="K86" s="260"/>
      <c r="L86" s="260"/>
      <c r="M86" s="260"/>
    </row>
    <row r="87" spans="2:13" ht="18.75" customHeight="1">
      <c r="B87" s="261" t="s">
        <v>57</v>
      </c>
      <c r="C87" s="262"/>
      <c r="D87" s="148">
        <v>300.92</v>
      </c>
      <c r="E87" s="74"/>
      <c r="F87" s="168"/>
      <c r="G87" s="257"/>
      <c r="H87" s="257"/>
      <c r="I87" s="141"/>
      <c r="J87" s="260"/>
      <c r="K87" s="260"/>
      <c r="L87" s="260"/>
      <c r="M87" s="260"/>
    </row>
    <row r="88" spans="6:12" ht="9.75" customHeight="1">
      <c r="F88" s="167"/>
      <c r="G88" s="257"/>
      <c r="H88" s="257"/>
      <c r="I88" s="73"/>
      <c r="J88" s="74"/>
      <c r="K88" s="74"/>
      <c r="L88" s="74"/>
    </row>
    <row r="89" spans="2:12" ht="22.5" customHeight="1" hidden="1">
      <c r="B89" s="255" t="s">
        <v>60</v>
      </c>
      <c r="C89" s="256"/>
      <c r="D89" s="86">
        <v>0</v>
      </c>
      <c r="E89" s="56" t="s">
        <v>24</v>
      </c>
      <c r="F89" s="167"/>
      <c r="G89" s="257"/>
      <c r="H89" s="25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7"/>
      <c r="O90" s="257"/>
    </row>
    <row r="91" spans="4:15" ht="15">
      <c r="D91" s="83"/>
      <c r="I91" s="31"/>
      <c r="N91" s="258"/>
      <c r="O91" s="258"/>
    </row>
    <row r="92" spans="14:15" ht="15">
      <c r="N92" s="257"/>
      <c r="O92" s="25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2016-07-18T09:12:39Z</cp:lastPrinted>
  <dcterms:created xsi:type="dcterms:W3CDTF">2003-07-28T11:27:56Z</dcterms:created>
  <dcterms:modified xsi:type="dcterms:W3CDTF">2016-07-19T08:52:44Z</dcterms:modified>
  <cp:category/>
  <cp:version/>
  <cp:contentType/>
  <cp:contentStatus/>
</cp:coreProperties>
</file>